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<sst xmlns="http://schemas.openxmlformats.org/spreadsheetml/2006/main" count="168" uniqueCount="113">
  <si>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</si>
  <si>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</si>
  <si>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</si>
  <si>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</si>
  <si>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</si>
  <si>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</si>
  <si>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</si>
  <si>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</si>
  <si>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</si>
  <si>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</si>
  <si>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</si>
  <si>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</si>
  <si>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</si>
  <si>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</si>
  <si>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</si>
  <si>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</si>
  <si>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</si>
  <si>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</si>
  <si>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</si>
  <si>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</si>
  <si>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</si>
  <si>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</si>
  <si>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</si>
  <si>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</si>
  <si>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</si>
  <si>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</si>
  <si>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</si>
  <si>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</si>
  <si>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</si>
  <si>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</si>
  <si>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</si>
  <si>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</si>
  <si>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</si>
  <si>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</si>
  <si>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</si>
  <si>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</si>
  <si>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</si>
  <si>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</si>
  <si>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</si>
  <si>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</si>
  <si>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</si>
  <si>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</si>
  <si>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</si>
  <si>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</si>
  <si>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</si>
  <si>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</si>
  <si>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</si>
  <si>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</si>
  <si>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</si>
  <si>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</si>
  <si>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</si>
  <si>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</si>
  <si>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</si>
  <si>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</si>
  <si>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</si>
  <si>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</si>
  <si>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</si>
  <si>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</si>
  <si>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</si>
  <si>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</si>
  <si>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</si>
  <si>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</si>
  <si>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</si>
  <si>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</si>
  <si>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</si>
  <si>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</si>
  <si>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</si>
  <si>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</si>
  <si>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</si>
  <si>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</si>
  <si>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</si>
  <si>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</si>
  <si>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</si>
  <si>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</si>
  <si>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</si>
  <si>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</si>
  <si>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</si>
  <si>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</si>
  <si>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</si>
  <si>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</si>
  <si>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</si>
  <si>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</si>
  <si>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</si>
  <si>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</si>
  <si>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</si>
  <si>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</si>
  <si>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</si>
  <si>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</si>
  <si>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</si>
  <si>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</si>
  <si>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</si>
  <si>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</si>
  <si>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</si>
  <si>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</si>
  <si>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</si>
  <si>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</si>
  <si>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</si>
  <si>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</si>
  <si>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</si>
  <si>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</si>
  <si>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</si>
  <si>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</si>
  <si>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</si>
  <si>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</si>
  <si>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</si>
  <si>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</si>
  <si>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</si>
  <si>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</si>
  <si>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</si>
  <si>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Відхилення від  плану 6 місяців, тис.грн.</t>
  </si>
  <si>
    <t>Відсоток виконання  плану 6 місяців</t>
  </si>
  <si>
    <t>План на 6 місяців тис.грн.</t>
  </si>
  <si>
    <t>Аналіз використання коштів загального фонду міського бюджету станом на 03.06.2019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</si>
</sst>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3" fillId="35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1"/>
          <c:w val="0.853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88307.60000000002</c:v>
                </c:pt>
              </c:numCache>
            </c:numRef>
          </c:val>
          <c:shape val="box"/>
        </c:ser>
        <c:shape val="box"/>
        <c:axId val="41607017"/>
        <c:axId val="38918834"/>
      </c:bar3DChart>
      <c:catAx>
        <c:axId val="4160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18834"/>
        <c:crosses val="autoZero"/>
        <c:auto val="1"/>
        <c:lblOffset val="100"/>
        <c:tickLblSkip val="1"/>
        <c:noMultiLvlLbl val="0"/>
      </c:catAx>
      <c:valAx>
        <c:axId val="38918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7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75"/>
          <c:w val="0.8435"/>
          <c:h val="0.71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920134.2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385045.19999999984</c:v>
                </c:pt>
              </c:numCache>
            </c:numRef>
          </c:val>
          <c:shape val="box"/>
        </c:ser>
        <c:shape val="box"/>
        <c:axId val="14725187"/>
        <c:axId val="65417820"/>
      </c:bar3DChart>
      <c:catAx>
        <c:axId val="14725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17820"/>
        <c:crosses val="autoZero"/>
        <c:auto val="1"/>
        <c:lblOffset val="100"/>
        <c:tickLblSkip val="1"/>
        <c:noMultiLvlLbl val="0"/>
      </c:catAx>
      <c:valAx>
        <c:axId val="65417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25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2"/>
          <c:w val="0.9295"/>
          <c:h val="0.6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417955.80000000005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166673.29999999987</c:v>
                </c:pt>
              </c:numCache>
            </c:numRef>
          </c:val>
          <c:shape val="box"/>
        </c:ser>
        <c:shape val="box"/>
        <c:axId val="51889469"/>
        <c:axId val="64352038"/>
      </c:bar3DChart>
      <c:catAx>
        <c:axId val="518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52038"/>
        <c:crosses val="autoZero"/>
        <c:auto val="1"/>
        <c:lblOffset val="100"/>
        <c:tickLblSkip val="1"/>
        <c:noMultiLvlLbl val="0"/>
      </c:catAx>
      <c:valAx>
        <c:axId val="64352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894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10287.8</c:v>
                </c:pt>
              </c:numCache>
            </c:numRef>
          </c:val>
          <c:shape val="box"/>
        </c:ser>
        <c:shape val="box"/>
        <c:axId val="42297431"/>
        <c:axId val="45132560"/>
      </c:bar3DChart>
      <c:catAx>
        <c:axId val="4229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32560"/>
        <c:crosses val="autoZero"/>
        <c:auto val="1"/>
        <c:lblOffset val="100"/>
        <c:tickLblSkip val="1"/>
        <c:noMultiLvlLbl val="0"/>
      </c:catAx>
      <c:valAx>
        <c:axId val="45132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7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42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52953.8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17980.4</c:v>
                </c:pt>
              </c:numCache>
            </c:numRef>
          </c:val>
          <c:shape val="box"/>
        </c:ser>
        <c:shape val="box"/>
        <c:axId val="3539857"/>
        <c:axId val="31858714"/>
      </c:bar3DChart>
      <c:catAx>
        <c:axId val="353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58714"/>
        <c:crosses val="autoZero"/>
        <c:auto val="1"/>
        <c:lblOffset val="100"/>
        <c:tickLblSkip val="2"/>
        <c:noMultiLvlLbl val="0"/>
      </c:catAx>
      <c:valAx>
        <c:axId val="31858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9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425"/>
          <c:w val="0.8775"/>
          <c:h val="0.68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1855.2999999999997</c:v>
                </c:pt>
              </c:numCache>
            </c:numRef>
          </c:val>
          <c:shape val="box"/>
        </c:ser>
        <c:shape val="box"/>
        <c:axId val="18292971"/>
        <c:axId val="30419012"/>
      </c:bar3DChart>
      <c:catAx>
        <c:axId val="1829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19012"/>
        <c:crosses val="autoZero"/>
        <c:auto val="1"/>
        <c:lblOffset val="100"/>
        <c:tickLblSkip val="1"/>
        <c:noMultiLvlLbl val="0"/>
      </c:catAx>
      <c:valAx>
        <c:axId val="30419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92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025"/>
          <c:w val="0.85275"/>
          <c:h val="0.7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133739.1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37409.1</c:v>
                </c:pt>
              </c:numCache>
            </c:numRef>
          </c:val>
          <c:shape val="box"/>
        </c:ser>
        <c:shape val="box"/>
        <c:axId val="5335653"/>
        <c:axId val="48020878"/>
      </c:bar3DChart>
      <c:catAx>
        <c:axId val="533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020878"/>
        <c:crosses val="autoZero"/>
        <c:auto val="1"/>
        <c:lblOffset val="100"/>
        <c:tickLblSkip val="1"/>
        <c:noMultiLvlLbl val="0"/>
      </c:catAx>
      <c:valAx>
        <c:axId val="48020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5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5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85"/>
          <c:w val="0.85125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920134.2</c:v>
                </c:pt>
                <c:pt idx="1">
                  <c:v>417955.80000000005</c:v>
                </c:pt>
                <c:pt idx="2">
                  <c:v>26882.8</c:v>
                </c:pt>
                <c:pt idx="3">
                  <c:v>52953.8</c:v>
                </c:pt>
                <c:pt idx="4">
                  <c:v>10268.5</c:v>
                </c:pt>
                <c:pt idx="5">
                  <c:v>209530.8</c:v>
                </c:pt>
                <c:pt idx="6">
                  <c:v>133739.1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385045.19999999984</c:v>
                </c:pt>
                <c:pt idx="1">
                  <c:v>166673.29999999987</c:v>
                </c:pt>
                <c:pt idx="2">
                  <c:v>10287.8</c:v>
                </c:pt>
                <c:pt idx="3">
                  <c:v>17980.4</c:v>
                </c:pt>
                <c:pt idx="4">
                  <c:v>1855.2999999999997</c:v>
                </c:pt>
                <c:pt idx="5">
                  <c:v>88307.60000000002</c:v>
                </c:pt>
                <c:pt idx="6">
                  <c:v>37409.1</c:v>
                </c:pt>
              </c:numCache>
            </c:numRef>
          </c:val>
          <c:shape val="box"/>
        </c:ser>
        <c:shape val="box"/>
        <c:axId val="29534719"/>
        <c:axId val="64485880"/>
      </c:bar3DChart>
      <c:catAx>
        <c:axId val="2953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85880"/>
        <c:crosses val="autoZero"/>
        <c:auto val="1"/>
        <c:lblOffset val="100"/>
        <c:tickLblSkip val="1"/>
        <c:noMultiLvlLbl val="0"/>
      </c:catAx>
      <c:valAx>
        <c:axId val="64485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34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8"/>
          <c:w val="0.84125"/>
          <c:h val="0.4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125217</c:v>
                </c:pt>
                <c:pt idx="2">
                  <c:v>48135.3</c:v>
                </c:pt>
                <c:pt idx="3">
                  <c:v>89055.8</c:v>
                </c:pt>
                <c:pt idx="4">
                  <c:v>122.9</c:v>
                </c:pt>
                <c:pt idx="5">
                  <c:v>1257300.9000000004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412051.59999999986</c:v>
                </c:pt>
                <c:pt idx="1">
                  <c:v>57066.39999999999</c:v>
                </c:pt>
                <c:pt idx="2">
                  <c:v>22897.3</c:v>
                </c:pt>
                <c:pt idx="3">
                  <c:v>29503.800000000007</c:v>
                </c:pt>
                <c:pt idx="4">
                  <c:v>36.99999999999999</c:v>
                </c:pt>
                <c:pt idx="5">
                  <c:v>437254.58517000003</c:v>
                </c:pt>
              </c:numCache>
            </c:numRef>
          </c:val>
          <c:shape val="box"/>
        </c:ser>
        <c:shape val="box"/>
        <c:axId val="43502009"/>
        <c:axId val="55973762"/>
      </c:bar3DChart>
      <c:catAx>
        <c:axId val="43502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73762"/>
        <c:crosses val="autoZero"/>
        <c:auto val="1"/>
        <c:lblOffset val="100"/>
        <c:tickLblSkip val="1"/>
        <c:noMultiLvlLbl val="0"/>
      </c:catAx>
      <c:valAx>
        <c:axId val="55973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02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G14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4" sqref="D54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13.625" style="130" customWidth="1"/>
    <col min="13" max="13" width="11.375" style="130" bestFit="1" customWidth="1"/>
    <col min="14" max="16384" width="9.125" style="130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111</v>
      </c>
      <c r="C3" s="165" t="s">
        <v>103</v>
      </c>
      <c r="D3" s="165" t="s">
        <v>20</v>
      </c>
      <c r="E3" s="165" t="s">
        <v>19</v>
      </c>
      <c r="F3" s="165" t="s">
        <v>110</v>
      </c>
      <c r="G3" s="165" t="s">
        <v>105</v>
      </c>
      <c r="H3" s="165" t="s">
        <v>109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35"/>
    </row>
    <row r="6" spans="1:12" ht="18.75" thickBot="1">
      <c r="A6" s="18" t="s">
        <v>24</v>
      </c>
      <c r="B6" s="34">
        <v>541968.7</v>
      </c>
      <c r="C6" s="35">
        <f>913995.7+3.2+21.3+6054.6-0.1+7.6+51.9</f>
        <v>920134.2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</f>
        <v>385045.19999999984</v>
      </c>
      <c r="E6" s="3">
        <f>D6/D156*100</f>
        <v>40.15862630188881</v>
      </c>
      <c r="F6" s="3">
        <f>D6/B6*100</f>
        <v>71.04565263639762</v>
      </c>
      <c r="G6" s="3">
        <f aca="true" t="shared" si="0" ref="G6:G43">D6/C6*100</f>
        <v>41.84663497998443</v>
      </c>
      <c r="H6" s="36">
        <f aca="true" t="shared" si="1" ref="H6:H12">B6-D6</f>
        <v>156923.50000000012</v>
      </c>
      <c r="I6" s="36">
        <f aca="true" t="shared" si="2" ref="I6:I43">C6-D6</f>
        <v>535089.0000000001</v>
      </c>
      <c r="J6" s="135"/>
      <c r="L6" s="136">
        <f>H6-H7</f>
        <v>101059.60000000011</v>
      </c>
    </row>
    <row r="7" spans="1:9" s="84" customFormat="1" ht="18.75">
      <c r="A7" s="121" t="s">
        <v>79</v>
      </c>
      <c r="B7" s="122">
        <v>184160.2</v>
      </c>
      <c r="C7" s="123">
        <f>298956.2+3.2</f>
        <v>298959.4</v>
      </c>
      <c r="D7" s="124">
        <f>12060.7+9623.1+1044.7+273.5+10510.2+12398.6+40.7+10550.7+12514+8.7+10597.9+12396.7+14.3-11.2+14.3+10532.6+25726.8</f>
        <v>128296.3</v>
      </c>
      <c r="E7" s="125">
        <f>D7/D6*100</f>
        <v>33.319802454361216</v>
      </c>
      <c r="F7" s="125">
        <f>D7/B7*100</f>
        <v>69.66559549783287</v>
      </c>
      <c r="G7" s="125">
        <f>D7/C7*100</f>
        <v>42.914288696057056</v>
      </c>
      <c r="H7" s="124">
        <f t="shared" si="1"/>
        <v>55863.90000000001</v>
      </c>
      <c r="I7" s="124">
        <f t="shared" si="2"/>
        <v>170663.10000000003</v>
      </c>
    </row>
    <row r="8" spans="1:9" s="135" customFormat="1" ht="18">
      <c r="A8" s="89" t="s">
        <v>3</v>
      </c>
      <c r="B8" s="108">
        <v>428488.7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</f>
        <v>303652.3</v>
      </c>
      <c r="E8" s="93">
        <f>D8/D6*100</f>
        <v>78.86146873146325</v>
      </c>
      <c r="F8" s="93">
        <f>D8/B8*100</f>
        <v>70.86588281091193</v>
      </c>
      <c r="G8" s="93">
        <f t="shared" si="0"/>
        <v>41.62801384400299</v>
      </c>
      <c r="H8" s="91">
        <f t="shared" si="1"/>
        <v>124836.40000000002</v>
      </c>
      <c r="I8" s="91">
        <f t="shared" si="2"/>
        <v>425789.89999999997</v>
      </c>
    </row>
    <row r="9" spans="1:9" s="135" customFormat="1" ht="18">
      <c r="A9" s="89" t="s">
        <v>2</v>
      </c>
      <c r="B9" s="108">
        <v>51.7</v>
      </c>
      <c r="C9" s="109">
        <v>104.9</v>
      </c>
      <c r="D9" s="91">
        <f>16.3+0.9+0.3+8.7+9.7+0.3+0.4+0.4</f>
        <v>36.99999999999999</v>
      </c>
      <c r="E9" s="110">
        <f>D9/D6*100</f>
        <v>0.009609261458135307</v>
      </c>
      <c r="F9" s="93">
        <f>D9/B9*100</f>
        <v>71.56673114119921</v>
      </c>
      <c r="G9" s="93">
        <f t="shared" si="0"/>
        <v>35.271687321258334</v>
      </c>
      <c r="H9" s="91">
        <f t="shared" si="1"/>
        <v>14.70000000000001</v>
      </c>
      <c r="I9" s="91">
        <f t="shared" si="2"/>
        <v>67.9</v>
      </c>
    </row>
    <row r="10" spans="1:9" s="135" customFormat="1" ht="18">
      <c r="A10" s="89" t="s">
        <v>1</v>
      </c>
      <c r="B10" s="108">
        <v>26304.1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</f>
        <v>21547.6</v>
      </c>
      <c r="E10" s="93">
        <f>D10/D6*100</f>
        <v>5.596122221495037</v>
      </c>
      <c r="F10" s="93">
        <f aca="true" t="shared" si="3" ref="F10:F41">D10/B10*100</f>
        <v>81.91726765029026</v>
      </c>
      <c r="G10" s="93">
        <f t="shared" si="0"/>
        <v>49.60335913148771</v>
      </c>
      <c r="H10" s="91">
        <f t="shared" si="1"/>
        <v>4756.5</v>
      </c>
      <c r="I10" s="91">
        <f t="shared" si="2"/>
        <v>21892.200000000004</v>
      </c>
    </row>
    <row r="11" spans="1:9" s="135" customFormat="1" ht="18">
      <c r="A11" s="89" t="s">
        <v>0</v>
      </c>
      <c r="B11" s="108">
        <v>62292.3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</f>
        <v>46505.69999999998</v>
      </c>
      <c r="E11" s="93">
        <f>D11/D6*100</f>
        <v>12.077984610637921</v>
      </c>
      <c r="F11" s="93">
        <f t="shared" si="3"/>
        <v>74.65722087641647</v>
      </c>
      <c r="G11" s="93">
        <f t="shared" si="0"/>
        <v>47.33038462164757</v>
      </c>
      <c r="H11" s="91">
        <f t="shared" si="1"/>
        <v>15786.60000000002</v>
      </c>
      <c r="I11" s="91">
        <f t="shared" si="2"/>
        <v>51751.90000000002</v>
      </c>
    </row>
    <row r="12" spans="1:9" s="135" customFormat="1" ht="18">
      <c r="A12" s="89" t="s">
        <v>12</v>
      </c>
      <c r="B12" s="108">
        <v>6807.7</v>
      </c>
      <c r="C12" s="109">
        <f>13016.5-27.3-2</f>
        <v>12987.2</v>
      </c>
      <c r="D12" s="91">
        <f>134.7+863.6+21+169+134.3+503.1+242.3+376.7+419.7+11.5+196.3+194.7+350.5+128.8+306+205.9+21+475.1+46.1+265+1</f>
        <v>5066.3</v>
      </c>
      <c r="E12" s="93">
        <f>D12/D6*100</f>
        <v>1.3157676033878625</v>
      </c>
      <c r="F12" s="93">
        <f t="shared" si="3"/>
        <v>74.42014189814475</v>
      </c>
      <c r="G12" s="93">
        <f t="shared" si="0"/>
        <v>39.009948256745105</v>
      </c>
      <c r="H12" s="91">
        <f t="shared" si="1"/>
        <v>1741.3999999999996</v>
      </c>
      <c r="I12" s="91">
        <f t="shared" si="2"/>
        <v>7920.900000000001</v>
      </c>
    </row>
    <row r="13" spans="1:9" s="135" customFormat="1" ht="18.75" thickBot="1">
      <c r="A13" s="89" t="s">
        <v>25</v>
      </c>
      <c r="B13" s="109">
        <f>B6-B8-B9-B10-B11-B12</f>
        <v>18024.19999999995</v>
      </c>
      <c r="C13" s="109">
        <f>C6-C8-C9-C10-C11-C12</f>
        <v>35902.499999999985</v>
      </c>
      <c r="D13" s="109">
        <f>D6-D8-D9-D10-D11-D12</f>
        <v>8236.299999999868</v>
      </c>
      <c r="E13" s="93">
        <f>D13/D6*100</f>
        <v>2.1390475715577995</v>
      </c>
      <c r="F13" s="93">
        <f t="shared" si="3"/>
        <v>45.6957867755567</v>
      </c>
      <c r="G13" s="93">
        <f t="shared" si="0"/>
        <v>22.940742288141138</v>
      </c>
      <c r="H13" s="91">
        <f aca="true" t="shared" si="4" ref="H13:H44">B13-D13</f>
        <v>9787.900000000081</v>
      </c>
      <c r="I13" s="91">
        <f t="shared" si="2"/>
        <v>27666.200000000117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220387.9</v>
      </c>
      <c r="C18" s="35">
        <f>417020.2+71.9+897.7-0.1-33.9</f>
        <v>417955.80000000005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</f>
        <v>166673.29999999987</v>
      </c>
      <c r="E18" s="3">
        <f>D18/D156*100</f>
        <v>17.383337772299466</v>
      </c>
      <c r="F18" s="3">
        <f>D18/B18*100</f>
        <v>75.62724632341425</v>
      </c>
      <c r="G18" s="3">
        <f t="shared" si="0"/>
        <v>39.87821200232174</v>
      </c>
      <c r="H18" s="156">
        <f t="shared" si="4"/>
        <v>53714.60000000012</v>
      </c>
      <c r="I18" s="36">
        <f t="shared" si="2"/>
        <v>251282.50000000017</v>
      </c>
      <c r="J18" s="135"/>
      <c r="L18" s="136">
        <f>H18-H19</f>
        <v>36377.30000000012</v>
      </c>
    </row>
    <row r="19" spans="1:9" s="84" customFormat="1" ht="18.75">
      <c r="A19" s="121" t="s">
        <v>80</v>
      </c>
      <c r="B19" s="122">
        <v>102528.2</v>
      </c>
      <c r="C19" s="123">
        <f>204458.2+897.7</f>
        <v>205355.90000000002</v>
      </c>
      <c r="D19" s="124">
        <f>9880.4+236.6+6921+499.9+9964.9+430.2+258.6+5793.8+50.4+1023.5+21.4+9702.8+983.7+1447.3+3314.6+585.3+0.7+743.9+7774.7+2133.2+803.2+33.9+1127+4421.6+78.6+109.2-187.8+369.6+7895.9+2034.2+1222.4+1219.3+4043.1+66+78.6+109.2</f>
        <v>85190.9</v>
      </c>
      <c r="E19" s="125">
        <f>D19/D18*100</f>
        <v>51.112505722272296</v>
      </c>
      <c r="F19" s="125">
        <f t="shared" si="3"/>
        <v>83.09021322914086</v>
      </c>
      <c r="G19" s="125">
        <f t="shared" si="0"/>
        <v>41.48451541932809</v>
      </c>
      <c r="H19" s="124">
        <f t="shared" si="4"/>
        <v>17337.300000000003</v>
      </c>
      <c r="I19" s="124">
        <f t="shared" si="2"/>
        <v>120165.00000000003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454.3</v>
      </c>
      <c r="C24" s="109">
        <v>999.4</v>
      </c>
      <c r="D24" s="91">
        <f>199.2+100.3</f>
        <v>299.5</v>
      </c>
      <c r="E24" s="93">
        <f>D24/D18*100</f>
        <v>0.1796928482246408</v>
      </c>
      <c r="F24" s="93">
        <f t="shared" si="3"/>
        <v>65.92559982390492</v>
      </c>
      <c r="G24" s="93">
        <f t="shared" si="0"/>
        <v>29.967980788473085</v>
      </c>
      <c r="H24" s="91">
        <f t="shared" si="4"/>
        <v>154.8</v>
      </c>
      <c r="I24" s="91">
        <f t="shared" si="2"/>
        <v>699.9</v>
      </c>
    </row>
    <row r="25" spans="1:9" s="135" customFormat="1" ht="18.75" thickBot="1">
      <c r="A25" s="89" t="s">
        <v>25</v>
      </c>
      <c r="B25" s="109">
        <f>B18-B24</f>
        <v>219933.6</v>
      </c>
      <c r="C25" s="109">
        <f>C18-C24</f>
        <v>416956.4</v>
      </c>
      <c r="D25" s="109">
        <f>D18-D24</f>
        <v>166373.79999999987</v>
      </c>
      <c r="E25" s="93">
        <f>D25/D18*100</f>
        <v>99.82030715177535</v>
      </c>
      <c r="F25" s="93">
        <f t="shared" si="3"/>
        <v>75.64728627185654</v>
      </c>
      <c r="G25" s="93">
        <f t="shared" si="0"/>
        <v>39.90196576908278</v>
      </c>
      <c r="H25" s="91">
        <f t="shared" si="4"/>
        <v>53559.800000000134</v>
      </c>
      <c r="I25" s="91">
        <f t="shared" si="2"/>
        <v>250582.60000000015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v>13460.4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</f>
        <v>10287.8</v>
      </c>
      <c r="E33" s="3">
        <f>D33/D156*100</f>
        <v>1.0729751095938136</v>
      </c>
      <c r="F33" s="3">
        <f>D33/B33*100</f>
        <v>76.43012094737155</v>
      </c>
      <c r="G33" s="155">
        <f t="shared" si="0"/>
        <v>38.26907911378279</v>
      </c>
      <c r="H33" s="156">
        <f t="shared" si="4"/>
        <v>3172.6000000000004</v>
      </c>
      <c r="I33" s="36">
        <f t="shared" si="2"/>
        <v>16595</v>
      </c>
      <c r="J33" s="135"/>
    </row>
    <row r="34" spans="1:9" s="135" customFormat="1" ht="18">
      <c r="A34" s="89" t="s">
        <v>3</v>
      </c>
      <c r="B34" s="108">
        <v>7160.7</v>
      </c>
      <c r="C34" s="109">
        <v>14255.8</v>
      </c>
      <c r="D34" s="91">
        <f>95.5+254.3+520.9+145.6+77.4+290.2+14+629.4+494.6+11.4+607.6+26.4+384.9+103.2+27.1+151.5+461.6+16.4+14.3-0.2+100.6+400.5+180.4+615.1</f>
        <v>5622.700000000001</v>
      </c>
      <c r="E34" s="93">
        <f>D34/D33*100</f>
        <v>54.65405626081379</v>
      </c>
      <c r="F34" s="93">
        <f t="shared" si="3"/>
        <v>78.52165291102826</v>
      </c>
      <c r="G34" s="93">
        <f t="shared" si="0"/>
        <v>39.44149048106736</v>
      </c>
      <c r="H34" s="91">
        <f t="shared" si="4"/>
        <v>1537.999999999999</v>
      </c>
      <c r="I34" s="91">
        <f t="shared" si="2"/>
        <v>8633.099999999999</v>
      </c>
    </row>
    <row r="35" spans="1:9" s="135" customFormat="1" ht="18">
      <c r="A35" s="89" t="s">
        <v>1</v>
      </c>
      <c r="B35" s="108">
        <v>54.5</v>
      </c>
      <c r="C35" s="109">
        <v>87.1</v>
      </c>
      <c r="D35" s="91">
        <f>10+2+7.5+3+1.9+26.2+3.9</f>
        <v>54.49999999999999</v>
      </c>
      <c r="E35" s="93">
        <f>D35/D33*100</f>
        <v>0.5297536888353195</v>
      </c>
      <c r="F35" s="93">
        <f t="shared" si="3"/>
        <v>99.99999999999999</v>
      </c>
      <c r="G35" s="93">
        <f t="shared" si="0"/>
        <v>62.57175660160734</v>
      </c>
      <c r="H35" s="91">
        <f t="shared" si="4"/>
        <v>0</v>
      </c>
      <c r="I35" s="91">
        <f t="shared" si="2"/>
        <v>32.6</v>
      </c>
    </row>
    <row r="36" spans="1:9" s="135" customFormat="1" ht="18">
      <c r="A36" s="89" t="s">
        <v>0</v>
      </c>
      <c r="B36" s="108">
        <v>1163</v>
      </c>
      <c r="C36" s="109">
        <v>2087.8</v>
      </c>
      <c r="D36" s="91">
        <f>1.1+273.8+98.4+76.8+0.5+2.1+0.3+6.6+52.2+342.8+0.4+3.3+12.2+25.8+7.1+2.1</f>
        <v>905.5000000000001</v>
      </c>
      <c r="E36" s="93">
        <f>D36/D33*100</f>
        <v>8.801687435603338</v>
      </c>
      <c r="F36" s="93">
        <f t="shared" si="3"/>
        <v>77.85898538263115</v>
      </c>
      <c r="G36" s="93">
        <f t="shared" si="0"/>
        <v>43.37101254909474</v>
      </c>
      <c r="H36" s="91">
        <f t="shared" si="4"/>
        <v>257.4999999999999</v>
      </c>
      <c r="I36" s="91">
        <f t="shared" si="2"/>
        <v>1182.3000000000002</v>
      </c>
    </row>
    <row r="37" spans="1:9" s="84" customFormat="1" ht="18.75">
      <c r="A37" s="149" t="s">
        <v>7</v>
      </c>
      <c r="B37" s="119">
        <v>352.7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2.4232586170026638</v>
      </c>
      <c r="F37" s="96">
        <f t="shared" si="3"/>
        <v>70.68330025517437</v>
      </c>
      <c r="G37" s="96">
        <f t="shared" si="0"/>
        <v>23.02789580639202</v>
      </c>
      <c r="H37" s="87">
        <f t="shared" si="4"/>
        <v>103.39999999999998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</f>
        <v>51</v>
      </c>
      <c r="E38" s="93">
        <f>D38/D33*100</f>
        <v>0.49573280973580364</v>
      </c>
      <c r="F38" s="93">
        <f t="shared" si="3"/>
        <v>44.93392070484582</v>
      </c>
      <c r="G38" s="93">
        <f t="shared" si="0"/>
        <v>24.938875305623473</v>
      </c>
      <c r="H38" s="91">
        <f t="shared" si="4"/>
        <v>62.5</v>
      </c>
      <c r="I38" s="91">
        <f t="shared" si="2"/>
        <v>153.5</v>
      </c>
    </row>
    <row r="39" spans="1:9" s="135" customFormat="1" ht="18.75" thickBot="1">
      <c r="A39" s="89" t="s">
        <v>25</v>
      </c>
      <c r="B39" s="108">
        <f>B33-B34-B36-B37-B35-B38</f>
        <v>4616</v>
      </c>
      <c r="C39" s="108">
        <f>C33-C34-C36-C37-C35-C38</f>
        <v>9165</v>
      </c>
      <c r="D39" s="108">
        <f>D33-D34-D36-D37-D35-D38</f>
        <v>3404.7999999999984</v>
      </c>
      <c r="E39" s="93">
        <f>D39/D33*100</f>
        <v>33.095511188009084</v>
      </c>
      <c r="F39" s="93">
        <f t="shared" si="3"/>
        <v>73.76083188908143</v>
      </c>
      <c r="G39" s="93">
        <f t="shared" si="0"/>
        <v>37.15002727768684</v>
      </c>
      <c r="H39" s="91">
        <f t="shared" si="4"/>
        <v>1211.2000000000016</v>
      </c>
      <c r="I39" s="91">
        <f t="shared" si="2"/>
        <v>5760.200000000002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v>485</v>
      </c>
      <c r="C43" s="35">
        <f>955.1+25</f>
        <v>980.1</v>
      </c>
      <c r="D43" s="36">
        <f>18+9.7+7.2+11.6+18.4+18.7+25.1+13.5+2.2+2+16.6+22.9+12+21+7.7+15.6+10+15+10+0.1+10.1+18.6+9+50.3+7+2+8</f>
        <v>362.3000000000001</v>
      </c>
      <c r="E43" s="3">
        <f>D43/D156*100</f>
        <v>0.03778639575087373</v>
      </c>
      <c r="F43" s="3">
        <f>D43/B43*100</f>
        <v>74.70103092783508</v>
      </c>
      <c r="G43" s="3">
        <f t="shared" si="0"/>
        <v>36.96561575349455</v>
      </c>
      <c r="H43" s="156">
        <f t="shared" si="4"/>
        <v>122.69999999999987</v>
      </c>
      <c r="I43" s="36">
        <f t="shared" si="2"/>
        <v>617.8</v>
      </c>
      <c r="J43" s="135"/>
    </row>
    <row r="44" spans="1:10" ht="18.75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v>8391</v>
      </c>
      <c r="C46" s="35">
        <v>16742.1</v>
      </c>
      <c r="D46" s="36">
        <f>346.4+682.6-0.1+14.1+556.7+0.1+721.1+127.1+71.4+15.4+390.3+13.9+56.1+905.8+4.8+61.3+2.9+439.8+0.3+42+847.9+8.3+402.3+0.1+20.1+0.2+4.4+30.8+63.8+859.4</f>
        <v>6689.300000000001</v>
      </c>
      <c r="E46" s="3">
        <f>D46/D156*100</f>
        <v>0.697666401038696</v>
      </c>
      <c r="F46" s="3">
        <f>D46/B46*100</f>
        <v>79.71993802884045</v>
      </c>
      <c r="G46" s="3">
        <f aca="true" t="shared" si="5" ref="G46:G78">D46/C46*100</f>
        <v>39.95496383368874</v>
      </c>
      <c r="H46" s="36">
        <f>B46-D46</f>
        <v>1701.699999999999</v>
      </c>
      <c r="I46" s="36">
        <f aca="true" t="shared" si="6" ref="I46:I79">C46-D46</f>
        <v>10052.799999999997</v>
      </c>
      <c r="J46" s="135"/>
      <c r="K46" s="135"/>
    </row>
    <row r="47" spans="1:9" s="135" customFormat="1" ht="18">
      <c r="A47" s="89" t="s">
        <v>3</v>
      </c>
      <c r="B47" s="108">
        <v>7465.4</v>
      </c>
      <c r="C47" s="109">
        <v>15270.9</v>
      </c>
      <c r="D47" s="91">
        <f>332.5+633.1+14.1+510.1+691.2+14.1+377.2-0.1+896.5+425+839.9+7+383.6+0.2+7+859.2</f>
        <v>5990.599999999999</v>
      </c>
      <c r="E47" s="93">
        <f>D47/D46*100</f>
        <v>89.55496090771827</v>
      </c>
      <c r="F47" s="93">
        <f aca="true" t="shared" si="7" ref="F47:F76">D47/B47*100</f>
        <v>80.24486296782489</v>
      </c>
      <c r="G47" s="93">
        <f t="shared" si="5"/>
        <v>39.228860119573824</v>
      </c>
      <c r="H47" s="91">
        <f aca="true" t="shared" si="8" ref="H47:H76">B47-D47</f>
        <v>1474.8000000000002</v>
      </c>
      <c r="I47" s="91">
        <f t="shared" si="6"/>
        <v>9280.3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8">
      <c r="A49" s="89" t="s">
        <v>1</v>
      </c>
      <c r="B49" s="108">
        <v>53.1</v>
      </c>
      <c r="C49" s="109">
        <v>106.3</v>
      </c>
      <c r="D49" s="91">
        <f>8.3+10.5+10.2+9.5</f>
        <v>38.5</v>
      </c>
      <c r="E49" s="93">
        <f>D49/D46*100</f>
        <v>0.5755460212578296</v>
      </c>
      <c r="F49" s="93">
        <f t="shared" si="7"/>
        <v>72.50470809792844</v>
      </c>
      <c r="G49" s="93">
        <f t="shared" si="5"/>
        <v>36.21825023518345</v>
      </c>
      <c r="H49" s="91">
        <f t="shared" si="8"/>
        <v>14.600000000000001</v>
      </c>
      <c r="I49" s="91">
        <f t="shared" si="6"/>
        <v>67.8</v>
      </c>
    </row>
    <row r="50" spans="1:9" s="135" customFormat="1" ht="18">
      <c r="A50" s="89" t="s">
        <v>0</v>
      </c>
      <c r="B50" s="108">
        <v>697.5</v>
      </c>
      <c r="C50" s="109">
        <v>998.4</v>
      </c>
      <c r="D50" s="91">
        <f>13.9+43.7+37.9+3.3+112.6+65.7+2.1+15.6+56.1+2.7+37.7+0.1+42+5.3+1.3+11.6+20.1+0.2+56.8</f>
        <v>528.7</v>
      </c>
      <c r="E50" s="93">
        <f>D50/D46*100</f>
        <v>7.903667050364013</v>
      </c>
      <c r="F50" s="93">
        <f t="shared" si="7"/>
        <v>75.79928315412187</v>
      </c>
      <c r="G50" s="93">
        <f t="shared" si="5"/>
        <v>52.95472756410257</v>
      </c>
      <c r="H50" s="91">
        <f t="shared" si="8"/>
        <v>168.79999999999995</v>
      </c>
      <c r="I50" s="91">
        <f t="shared" si="6"/>
        <v>469.69999999999993</v>
      </c>
    </row>
    <row r="51" spans="1:9" s="135" customFormat="1" ht="18.75" thickBot="1">
      <c r="A51" s="89" t="s">
        <v>25</v>
      </c>
      <c r="B51" s="109">
        <f>B46-B47-B50-B49-B48</f>
        <v>174.10000000000036</v>
      </c>
      <c r="C51" s="109">
        <f>C46-C47-C50-C49-C48</f>
        <v>364.8999999999989</v>
      </c>
      <c r="D51" s="109">
        <f>D46-D47-D50-D49-D48</f>
        <v>131.5000000000016</v>
      </c>
      <c r="E51" s="93">
        <f>D51/D46*100</f>
        <v>1.9658260206598832</v>
      </c>
      <c r="F51" s="93">
        <f t="shared" si="7"/>
        <v>75.53130384836376</v>
      </c>
      <c r="G51" s="93">
        <f t="shared" si="5"/>
        <v>36.03727048506495</v>
      </c>
      <c r="H51" s="91">
        <f t="shared" si="8"/>
        <v>42.59999999999877</v>
      </c>
      <c r="I51" s="91">
        <f t="shared" si="6"/>
        <v>233.3999999999973</v>
      </c>
    </row>
    <row r="52" spans="1:10" ht="18.75" thickBot="1">
      <c r="A52" s="18" t="s">
        <v>4</v>
      </c>
      <c r="B52" s="34">
        <v>28801.3</v>
      </c>
      <c r="C52" s="35">
        <f>54626.8-33-1640</f>
        <v>52953.8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</f>
        <v>17980.4</v>
      </c>
      <c r="E52" s="3">
        <f>D52/D156*100</f>
        <v>1.8752815626801267</v>
      </c>
      <c r="F52" s="3">
        <f>D52/B52*100</f>
        <v>62.429126463041605</v>
      </c>
      <c r="G52" s="3">
        <f t="shared" si="5"/>
        <v>33.95488142494023</v>
      </c>
      <c r="H52" s="36">
        <f>B52-D52</f>
        <v>10820.899999999998</v>
      </c>
      <c r="I52" s="36">
        <f t="shared" si="6"/>
        <v>34973.4</v>
      </c>
      <c r="J52" s="135"/>
    </row>
    <row r="53" spans="1:9" s="135" customFormat="1" ht="18">
      <c r="A53" s="89" t="s">
        <v>3</v>
      </c>
      <c r="B53" s="108">
        <v>14336.3</v>
      </c>
      <c r="C53" s="109">
        <v>25959.9</v>
      </c>
      <c r="D53" s="91">
        <f>721.7+980.4+865.2+984.4+270.7+792.3+9.9+66.7+1210.9+835.2+313.7+945.1+17.3+739.5+1432.2+7.4</f>
        <v>10192.6</v>
      </c>
      <c r="E53" s="93">
        <f>D53/D52*100</f>
        <v>56.68728170674735</v>
      </c>
      <c r="F53" s="93">
        <f t="shared" si="7"/>
        <v>71.09644747947519</v>
      </c>
      <c r="G53" s="93">
        <f t="shared" si="5"/>
        <v>39.26286310810134</v>
      </c>
      <c r="H53" s="91">
        <f t="shared" si="8"/>
        <v>4143.699999999999</v>
      </c>
      <c r="I53" s="91">
        <f t="shared" si="6"/>
        <v>15767.300000000001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2150.9</v>
      </c>
      <c r="C55" s="109">
        <f>4332.1-250</f>
        <v>4082.1000000000004</v>
      </c>
      <c r="D55" s="91">
        <f>3.2+7.6+9.6+11.4+10.1+24.7+6.6+7.8+2.3+6.6+70.1+102.1+3.2+185.8+105+116.2+245+84+7.3+8.9+0.2+110.8+122.9-0.1+5.4</f>
        <v>1256.7000000000003</v>
      </c>
      <c r="E55" s="93">
        <f>D55/D52*100</f>
        <v>6.98927721296523</v>
      </c>
      <c r="F55" s="93">
        <f t="shared" si="7"/>
        <v>58.426705100190624</v>
      </c>
      <c r="G55" s="93">
        <f t="shared" si="5"/>
        <v>30.785625045932246</v>
      </c>
      <c r="H55" s="91">
        <f t="shared" si="8"/>
        <v>894.1999999999998</v>
      </c>
      <c r="I55" s="91">
        <f t="shared" si="6"/>
        <v>2825.4</v>
      </c>
    </row>
    <row r="56" spans="1:9" s="135" customFormat="1" ht="18">
      <c r="A56" s="89" t="s">
        <v>0</v>
      </c>
      <c r="B56" s="108">
        <v>769.3</v>
      </c>
      <c r="C56" s="109">
        <f>1406.6+3.9+1</f>
        <v>1411.5</v>
      </c>
      <c r="D56" s="91">
        <f>0.3+1.2+21.4+80.5+2.4+14.5+22.9+268+5.9+0.1+8.8+0.5+18.5+22.5+0.1+5.1+69.1+23+1.1+16.4+1+37.3+17.3</f>
        <v>637.9</v>
      </c>
      <c r="E56" s="93">
        <f>D56/D52*100</f>
        <v>3.5477519966185396</v>
      </c>
      <c r="F56" s="93">
        <f t="shared" si="7"/>
        <v>82.91953724164826</v>
      </c>
      <c r="G56" s="93">
        <f t="shared" si="5"/>
        <v>45.19305703152675</v>
      </c>
      <c r="H56" s="91">
        <f t="shared" si="8"/>
        <v>131.39999999999998</v>
      </c>
      <c r="I56" s="91">
        <f t="shared" si="6"/>
        <v>773.6</v>
      </c>
    </row>
    <row r="57" spans="1:9" s="135" customFormat="1" ht="18">
      <c r="A57" s="89" t="s">
        <v>12</v>
      </c>
      <c r="B57" s="108">
        <v>1832</v>
      </c>
      <c r="C57" s="109">
        <f>4640-960</f>
        <v>3680</v>
      </c>
      <c r="D57" s="109">
        <f>227+242+245+245</f>
        <v>959</v>
      </c>
      <c r="E57" s="93">
        <f>D57/D52*100</f>
        <v>5.3335854597228085</v>
      </c>
      <c r="F57" s="93">
        <f>D57/B57*100</f>
        <v>52.3471615720524</v>
      </c>
      <c r="G57" s="93">
        <f>D57/C57*100</f>
        <v>26.059782608695652</v>
      </c>
      <c r="H57" s="91">
        <f t="shared" si="8"/>
        <v>873</v>
      </c>
      <c r="I57" s="91">
        <f t="shared" si="6"/>
        <v>2721</v>
      </c>
    </row>
    <row r="58" spans="1:9" s="135" customFormat="1" ht="18.75" thickBot="1">
      <c r="A58" s="89" t="s">
        <v>25</v>
      </c>
      <c r="B58" s="109">
        <f>B52-B53-B56-B55-B54-B57</f>
        <v>9712.800000000001</v>
      </c>
      <c r="C58" s="109">
        <f>C52-C53-C56-C55-C54-C57</f>
        <v>17803.9</v>
      </c>
      <c r="D58" s="109">
        <f>D52-D53-D56-D55-D54-D57</f>
        <v>4934.200000000001</v>
      </c>
      <c r="E58" s="93">
        <f>D58/D52*100</f>
        <v>27.44210362394608</v>
      </c>
      <c r="F58" s="93">
        <f t="shared" si="7"/>
        <v>50.80100485956676</v>
      </c>
      <c r="G58" s="93">
        <f t="shared" si="5"/>
        <v>27.714152517145124</v>
      </c>
      <c r="H58" s="91">
        <f>B58-D58</f>
        <v>4778.6</v>
      </c>
      <c r="I58" s="91">
        <f>C58-D58</f>
        <v>12869.7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4769.1</v>
      </c>
      <c r="C60" s="35">
        <v>10268.5</v>
      </c>
      <c r="D60" s="36">
        <f>80.6+106+88.7+4.1+0.3+50.7+49.2+44+180.6+100.8+125+0.6+0.8+205.4-0.2+30.8+60.6+59.8+0.5+2.3+86.2+133.9+48.6-0.1+49.5+49.3+61.5+235.8</f>
        <v>1855.2999999999997</v>
      </c>
      <c r="E60" s="3">
        <f>D60/D156*100</f>
        <v>0.19350013810818656</v>
      </c>
      <c r="F60" s="3">
        <f>D60/B60*100</f>
        <v>38.90251829485646</v>
      </c>
      <c r="G60" s="3">
        <f t="shared" si="5"/>
        <v>18.067877489409355</v>
      </c>
      <c r="H60" s="36">
        <f>B60-D60</f>
        <v>2913.8000000000006</v>
      </c>
      <c r="I60" s="36">
        <f t="shared" si="6"/>
        <v>8413.2</v>
      </c>
      <c r="J60" s="135"/>
    </row>
    <row r="61" spans="1:9" s="135" customFormat="1" ht="18">
      <c r="A61" s="89" t="s">
        <v>3</v>
      </c>
      <c r="B61" s="108">
        <v>1825.8</v>
      </c>
      <c r="C61" s="109">
        <v>3626.9</v>
      </c>
      <c r="D61" s="91">
        <f>80.6+106+88.7+4.1+50.7+38.1+180.6+95.6+203.1+54.2+59.8+86.2+109.7+0.1+49.5+34.4+208.9</f>
        <v>1450.3000000000002</v>
      </c>
      <c r="E61" s="93">
        <f>D61/D60*100</f>
        <v>78.17064625667011</v>
      </c>
      <c r="F61" s="93">
        <f t="shared" si="7"/>
        <v>79.433672910505</v>
      </c>
      <c r="G61" s="93">
        <f t="shared" si="5"/>
        <v>39.98731699247291</v>
      </c>
      <c r="H61" s="91">
        <f t="shared" si="8"/>
        <v>375.4999999999998</v>
      </c>
      <c r="I61" s="91">
        <f t="shared" si="6"/>
        <v>2176.6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/>
      <c r="E62" s="93">
        <f>D62/D60*100</f>
        <v>0</v>
      </c>
      <c r="F62" s="93">
        <f>D62/B62*100</f>
        <v>0</v>
      </c>
      <c r="G62" s="93">
        <f t="shared" si="5"/>
        <v>0</v>
      </c>
      <c r="H62" s="91">
        <f t="shared" si="8"/>
        <v>420</v>
      </c>
      <c r="I62" s="91">
        <f t="shared" si="6"/>
        <v>420</v>
      </c>
    </row>
    <row r="63" spans="1:9" s="135" customFormat="1" ht="18">
      <c r="A63" s="89" t="s">
        <v>0</v>
      </c>
      <c r="B63" s="108">
        <v>315.5</v>
      </c>
      <c r="C63" s="109">
        <v>475.3</v>
      </c>
      <c r="D63" s="91">
        <f>9.6+44+118.7+0.1+30.8+0.2+16.8+0.1+13.9+3.1</f>
        <v>237.3</v>
      </c>
      <c r="E63" s="93">
        <f>D63/D60*100</f>
        <v>12.790384304425162</v>
      </c>
      <c r="F63" s="93">
        <f t="shared" si="7"/>
        <v>75.21394611727416</v>
      </c>
      <c r="G63" s="93">
        <f t="shared" si="5"/>
        <v>49.92636229749632</v>
      </c>
      <c r="H63" s="91">
        <f t="shared" si="8"/>
        <v>78.19999999999999</v>
      </c>
      <c r="I63" s="91">
        <f t="shared" si="6"/>
        <v>238</v>
      </c>
    </row>
    <row r="64" spans="1:9" s="135" customFormat="1" ht="18">
      <c r="A64" s="89" t="s">
        <v>12</v>
      </c>
      <c r="B64" s="108">
        <v>1713.7</v>
      </c>
      <c r="C64" s="109">
        <v>4848.7</v>
      </c>
      <c r="D64" s="91"/>
      <c r="E64" s="93">
        <f>D64/D60*100</f>
        <v>0</v>
      </c>
      <c r="F64" s="93">
        <f t="shared" si="7"/>
        <v>0</v>
      </c>
      <c r="G64" s="93">
        <f t="shared" si="5"/>
        <v>0</v>
      </c>
      <c r="H64" s="91">
        <f t="shared" si="8"/>
        <v>1713.7</v>
      </c>
      <c r="I64" s="91">
        <f t="shared" si="6"/>
        <v>4848.7</v>
      </c>
    </row>
    <row r="65" spans="1:9" s="135" customFormat="1" ht="18.75" thickBot="1">
      <c r="A65" s="89" t="s">
        <v>25</v>
      </c>
      <c r="B65" s="109">
        <f>B60-B61-B63-B64-B62</f>
        <v>494.10000000000014</v>
      </c>
      <c r="C65" s="109">
        <f>C60-C61-C63-C64-C62</f>
        <v>897.6000000000004</v>
      </c>
      <c r="D65" s="109">
        <f>D60-D61-D63-D64-D62</f>
        <v>167.69999999999953</v>
      </c>
      <c r="E65" s="93">
        <f>D65/D60*100</f>
        <v>9.038969438904736</v>
      </c>
      <c r="F65" s="93">
        <f t="shared" si="7"/>
        <v>33.940497874924006</v>
      </c>
      <c r="G65" s="93">
        <f t="shared" si="5"/>
        <v>18.683155080213844</v>
      </c>
      <c r="H65" s="91">
        <f t="shared" si="8"/>
        <v>326.4000000000006</v>
      </c>
      <c r="I65" s="91">
        <f t="shared" si="6"/>
        <v>729.9000000000008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326</v>
      </c>
      <c r="C70" s="35">
        <f>C71+C72</f>
        <v>473.1</v>
      </c>
      <c r="D70" s="36">
        <f>D71+D72</f>
        <v>197.70000000000002</v>
      </c>
      <c r="E70" s="27">
        <f>D70/D156*100</f>
        <v>0.020619294617575862</v>
      </c>
      <c r="F70" s="3">
        <f>D70/B70*100</f>
        <v>60.64417177914111</v>
      </c>
      <c r="G70" s="3">
        <f t="shared" si="5"/>
        <v>41.78820545339252</v>
      </c>
      <c r="H70" s="36">
        <f>B70-D70</f>
        <v>128.29999999999998</v>
      </c>
      <c r="I70" s="36">
        <f t="shared" si="6"/>
        <v>275.4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</f>
        <v>167.3</v>
      </c>
      <c r="E71" s="93">
        <f>D71/D70*100</f>
        <v>84.62316641375823</v>
      </c>
      <c r="F71" s="93">
        <f t="shared" si="7"/>
        <v>76.99033594109525</v>
      </c>
      <c r="G71" s="93">
        <f t="shared" si="5"/>
        <v>76.99033594109525</v>
      </c>
      <c r="H71" s="91">
        <f t="shared" si="8"/>
        <v>50</v>
      </c>
      <c r="I71" s="91">
        <f t="shared" si="6"/>
        <v>50</v>
      </c>
    </row>
    <row r="72" spans="1:9" s="135" customFormat="1" ht="21" customHeight="1">
      <c r="A72" s="148" t="s">
        <v>107</v>
      </c>
      <c r="B72" s="108">
        <v>108.7</v>
      </c>
      <c r="C72" s="109">
        <f>396.5-65.8-22.7-7.6-44.6</f>
        <v>255.79999999999998</v>
      </c>
      <c r="D72" s="91">
        <f>0.6+6.4+23.4</f>
        <v>30.4</v>
      </c>
      <c r="E72" s="93">
        <f>D72/D71*100</f>
        <v>18.170950388523607</v>
      </c>
      <c r="F72" s="93">
        <f t="shared" si="7"/>
        <v>27.966881324747007</v>
      </c>
      <c r="G72" s="93">
        <f t="shared" si="5"/>
        <v>11.884284597341674</v>
      </c>
      <c r="H72" s="91">
        <f t="shared" si="8"/>
        <v>78.30000000000001</v>
      </c>
      <c r="I72" s="91">
        <f t="shared" si="6"/>
        <v>225.39999999999998</v>
      </c>
    </row>
    <row r="73" spans="1:9" s="135" customFormat="1" ht="18.75" thickBot="1">
      <c r="A73" s="89" t="s">
        <v>46</v>
      </c>
      <c r="B73" s="108">
        <v>23.4</v>
      </c>
      <c r="C73" s="109">
        <v>23.4</v>
      </c>
      <c r="D73" s="109">
        <v>23.4</v>
      </c>
      <c r="E73" s="93">
        <f>D73/D72*100</f>
        <v>76.97368421052632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v>65</v>
      </c>
      <c r="C79" s="49">
        <f>10000-9900</f>
        <v>100</v>
      </c>
      <c r="D79" s="50"/>
      <c r="E79" s="30"/>
      <c r="F79" s="30"/>
      <c r="G79" s="30"/>
      <c r="H79" s="50">
        <f>B79-D79</f>
        <v>65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v>112675.7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</f>
        <v>88307.60000000002</v>
      </c>
      <c r="E92" s="3">
        <f>D92/D156*100</f>
        <v>9.210118469251606</v>
      </c>
      <c r="F92" s="3">
        <f aca="true" t="shared" si="11" ref="F92:F98">D92/B92*100</f>
        <v>78.37324285538055</v>
      </c>
      <c r="G92" s="3">
        <f t="shared" si="9"/>
        <v>42.145402967010114</v>
      </c>
      <c r="H92" s="36">
        <f aca="true" t="shared" si="12" ref="H92:H98">B92-D92</f>
        <v>24368.099999999977</v>
      </c>
      <c r="I92" s="36">
        <f t="shared" si="10"/>
        <v>121223.19999999997</v>
      </c>
      <c r="J92" s="135"/>
    </row>
    <row r="93" spans="1:9" s="135" customFormat="1" ht="21.75" customHeight="1">
      <c r="A93" s="89" t="s">
        <v>3</v>
      </c>
      <c r="B93" s="108">
        <v>106130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</f>
        <v>84003.49999999996</v>
      </c>
      <c r="E93" s="93">
        <f>D93/D92*100</f>
        <v>95.12601406900419</v>
      </c>
      <c r="F93" s="93">
        <f t="shared" si="11"/>
        <v>79.15151229624043</v>
      </c>
      <c r="G93" s="93">
        <f t="shared" si="9"/>
        <v>42.75875092640098</v>
      </c>
      <c r="H93" s="91">
        <f t="shared" si="12"/>
        <v>22126.500000000044</v>
      </c>
      <c r="I93" s="91">
        <f t="shared" si="10"/>
        <v>112455.70000000006</v>
      </c>
    </row>
    <row r="94" spans="1:9" s="135" customFormat="1" ht="18">
      <c r="A94" s="89" t="s">
        <v>23</v>
      </c>
      <c r="B94" s="157">
        <v>1302.5</v>
      </c>
      <c r="C94" s="109">
        <v>2704.7</v>
      </c>
      <c r="D94" s="91">
        <f>10+5.9+981.6+112.5+3.5+4.3+3+9.2+59.4</f>
        <v>1189.4</v>
      </c>
      <c r="E94" s="93">
        <f>D94/D92*100</f>
        <v>1.346882940992621</v>
      </c>
      <c r="F94" s="93">
        <f t="shared" si="11"/>
        <v>91.31669865642995</v>
      </c>
      <c r="G94" s="93">
        <f t="shared" si="9"/>
        <v>43.975302251636045</v>
      </c>
      <c r="H94" s="91">
        <f t="shared" si="12"/>
        <v>113.09999999999991</v>
      </c>
      <c r="I94" s="91">
        <f t="shared" si="10"/>
        <v>1515.2999999999997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5243.199999999997</v>
      </c>
      <c r="C96" s="109">
        <f>C92-C93-C94-C95</f>
        <v>10366.899999999976</v>
      </c>
      <c r="D96" s="109">
        <f>D92-D93-D94-D95</f>
        <v>3114.700000000064</v>
      </c>
      <c r="E96" s="93">
        <f>D96/D92*100</f>
        <v>3.527102990003197</v>
      </c>
      <c r="F96" s="93">
        <f t="shared" si="11"/>
        <v>59.40456209948248</v>
      </c>
      <c r="G96" s="93">
        <f>D96/C96*100</f>
        <v>30.044661374181974</v>
      </c>
      <c r="H96" s="91">
        <f t="shared" si="12"/>
        <v>2128.499999999933</v>
      </c>
      <c r="I96" s="91">
        <f>C96-D96</f>
        <v>7252.199999999912</v>
      </c>
    </row>
    <row r="97" spans="1:10" ht="18.75">
      <c r="A97" s="75" t="s">
        <v>10</v>
      </c>
      <c r="B97" s="83">
        <v>48626.7</v>
      </c>
      <c r="C97" s="78">
        <f>83543+41100+1904.1+3500+20+3672</f>
        <v>133739.1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</f>
        <v>37409.1</v>
      </c>
      <c r="E97" s="74">
        <f>D97/D156*100</f>
        <v>3.9016148420756553</v>
      </c>
      <c r="F97" s="76">
        <f t="shared" si="11"/>
        <v>76.9311921228461</v>
      </c>
      <c r="G97" s="73">
        <f>D97/C97*100</f>
        <v>27.971700123598854</v>
      </c>
      <c r="H97" s="77">
        <f t="shared" si="12"/>
        <v>11217.599999999999</v>
      </c>
      <c r="I97" s="79">
        <f>C97-D97</f>
        <v>96330</v>
      </c>
      <c r="J97" s="135"/>
    </row>
    <row r="98" spans="1:9" s="135" customFormat="1" ht="18.75" thickBot="1">
      <c r="A98" s="111" t="s">
        <v>81</v>
      </c>
      <c r="B98" s="112">
        <v>7448.2</v>
      </c>
      <c r="C98" s="113">
        <v>16376.6</v>
      </c>
      <c r="D98" s="114">
        <f>101+2.6+598.7+1.6+2603.8+3.8+0.7+1149.5+2.1+129.3+1033.7+0.3+164.7+461.5</f>
        <v>6253.300000000001</v>
      </c>
      <c r="E98" s="115">
        <f>D98/D97*100</f>
        <v>16.715986217257303</v>
      </c>
      <c r="F98" s="116">
        <f t="shared" si="11"/>
        <v>83.95719771219893</v>
      </c>
      <c r="G98" s="117">
        <f>D98/C98*100</f>
        <v>38.184360612092874</v>
      </c>
      <c r="H98" s="118">
        <f t="shared" si="12"/>
        <v>1194.8999999999987</v>
      </c>
      <c r="I98" s="107">
        <f>C98-D98</f>
        <v>10123.3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v>35431.1</v>
      </c>
      <c r="C104" s="65">
        <f>73778+7.6+15.1-60.1+7.6-42.3</f>
        <v>73705.90000000001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</f>
        <v>24606.500000000004</v>
      </c>
      <c r="E104" s="16">
        <f>D104/D156*100</f>
        <v>2.5663564643772405</v>
      </c>
      <c r="F104" s="16">
        <f>D104/B104*100</f>
        <v>69.44887401181448</v>
      </c>
      <c r="G104" s="16">
        <f aca="true" t="shared" si="13" ref="G104:G154">D104/C104*100</f>
        <v>33.38470868682155</v>
      </c>
      <c r="H104" s="61">
        <f aca="true" t="shared" si="14" ref="H104:H154">B104-D104</f>
        <v>10824.599999999995</v>
      </c>
      <c r="I104" s="61">
        <f aca="true" t="shared" si="15" ref="I104:I154">C104-D104</f>
        <v>49099.40000000001</v>
      </c>
      <c r="J104" s="84"/>
    </row>
    <row r="105" spans="1:9" s="135" customFormat="1" ht="18.75" customHeight="1">
      <c r="A105" s="89" t="s">
        <v>3</v>
      </c>
      <c r="B105" s="100">
        <v>217.5</v>
      </c>
      <c r="C105" s="101">
        <v>543.6</v>
      </c>
      <c r="D105" s="101">
        <f>19.3+40.4+6</f>
        <v>65.7</v>
      </c>
      <c r="E105" s="102">
        <f>D105/D104*100</f>
        <v>0.2670026212586105</v>
      </c>
      <c r="F105" s="93">
        <f>D105/B105*100</f>
        <v>30.20689655172414</v>
      </c>
      <c r="G105" s="102">
        <f>D105/C105*100</f>
        <v>12.08609271523179</v>
      </c>
      <c r="H105" s="101">
        <f t="shared" si="14"/>
        <v>151.8</v>
      </c>
      <c r="I105" s="101">
        <f t="shared" si="15"/>
        <v>477.90000000000003</v>
      </c>
    </row>
    <row r="106" spans="1:9" s="135" customFormat="1" ht="18">
      <c r="A106" s="103" t="s">
        <v>46</v>
      </c>
      <c r="B106" s="90">
        <v>31628.3</v>
      </c>
      <c r="C106" s="91">
        <f>65554.9+7.6+15.1-60.1+45.6-3+37.7</f>
        <v>65597.8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</f>
        <v>23018.100000000006</v>
      </c>
      <c r="E106" s="93">
        <f>D106/D104*100</f>
        <v>93.5447950744722</v>
      </c>
      <c r="F106" s="93">
        <f aca="true" t="shared" si="16" ref="F106:F154">D106/B106*100</f>
        <v>72.77691181631643</v>
      </c>
      <c r="G106" s="93">
        <f t="shared" si="13"/>
        <v>35.08974386336128</v>
      </c>
      <c r="H106" s="91">
        <f t="shared" si="14"/>
        <v>8610.199999999993</v>
      </c>
      <c r="I106" s="91">
        <f t="shared" si="15"/>
        <v>42579.7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3585.2999999999993</v>
      </c>
      <c r="C108" s="105">
        <f>C104-C105-C106</f>
        <v>7564.5</v>
      </c>
      <c r="D108" s="105">
        <f>D104-D105-D106</f>
        <v>1522.699999999997</v>
      </c>
      <c r="E108" s="106">
        <f>D108/D104*100</f>
        <v>6.1882023042691845</v>
      </c>
      <c r="F108" s="106">
        <f t="shared" si="16"/>
        <v>42.47064401863157</v>
      </c>
      <c r="G108" s="106">
        <f t="shared" si="13"/>
        <v>20.129552515037307</v>
      </c>
      <c r="H108" s="107">
        <f t="shared" si="14"/>
        <v>2062.600000000002</v>
      </c>
      <c r="I108" s="107">
        <f t="shared" si="15"/>
        <v>6041.800000000003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244219.29999999996</v>
      </c>
      <c r="C109" s="63">
        <f>SUM(C110:C153)-C117-C122+C154-C144-C145-C111-C114-C125-C126-C142-C135-C133-C140-C120</f>
        <v>644516.3</v>
      </c>
      <c r="D109" s="63">
        <f>SUM(D110:D153)-D117-D122+D154-D144-D145-D111-D114-D125-D126-D142-D135-D133-D140-D120</f>
        <v>219396.18516999998</v>
      </c>
      <c r="E109" s="64">
        <f>D109/D156*100</f>
        <v>22.882117248317943</v>
      </c>
      <c r="F109" s="64">
        <f>D109/B109*100</f>
        <v>89.83572763086293</v>
      </c>
      <c r="G109" s="64">
        <f t="shared" si="13"/>
        <v>34.04044012075412</v>
      </c>
      <c r="H109" s="63">
        <f t="shared" si="14"/>
        <v>24823.114829999977</v>
      </c>
      <c r="I109" s="63">
        <f t="shared" si="15"/>
        <v>425120.1148300001</v>
      </c>
      <c r="J109" s="97"/>
    </row>
    <row r="110" spans="1:9" s="135" customFormat="1" ht="37.5">
      <c r="A110" s="150" t="s">
        <v>50</v>
      </c>
      <c r="B110" s="151">
        <v>2487.2</v>
      </c>
      <c r="C110" s="131">
        <v>4983.7</v>
      </c>
      <c r="D110" s="85">
        <f>1.8+140.5+138.5+0.9+33+80.9+13.3+0.1+53.3+109+1.4+124.9+19.8+24.9+9+3.6+91.3+61.8+18.7+59+14.7+34.7+0.1+2.2+3.8+2.1+129.5+15.3+0.5-0.3+15.6+0.9</f>
        <v>1204.7999999999997</v>
      </c>
      <c r="E110" s="86">
        <f>D110/D109*100</f>
        <v>0.5491435500879178</v>
      </c>
      <c r="F110" s="86">
        <f t="shared" si="16"/>
        <v>48.440012865873264</v>
      </c>
      <c r="G110" s="86">
        <f t="shared" si="13"/>
        <v>24.174809880209477</v>
      </c>
      <c r="H110" s="87">
        <f t="shared" si="14"/>
        <v>1282.4</v>
      </c>
      <c r="I110" s="87">
        <f t="shared" si="15"/>
        <v>3778.9</v>
      </c>
    </row>
    <row r="111" spans="1:9" s="135" customFormat="1" ht="18">
      <c r="A111" s="89" t="s">
        <v>23</v>
      </c>
      <c r="B111" s="90">
        <v>1160.2</v>
      </c>
      <c r="C111" s="91">
        <v>2332.2</v>
      </c>
      <c r="D111" s="92">
        <f>2.4+138.5+0.9+33.1+80.9+53.3+1.8+1.1+124.9+24.9+6.2+38.5+59+14.7+33.9+0.6+2.3</f>
        <v>617</v>
      </c>
      <c r="E111" s="93">
        <f>D111/D110*100</f>
        <v>51.21181938911023</v>
      </c>
      <c r="F111" s="93">
        <f t="shared" si="16"/>
        <v>53.180486123082225</v>
      </c>
      <c r="G111" s="93">
        <f t="shared" si="13"/>
        <v>26.455707057713752</v>
      </c>
      <c r="H111" s="91">
        <f t="shared" si="14"/>
        <v>543.2</v>
      </c>
      <c r="I111" s="91">
        <f t="shared" si="15"/>
        <v>1715.1999999999998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50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50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9" s="135" customFormat="1" ht="37.5">
      <c r="A116" s="152" t="s">
        <v>36</v>
      </c>
      <c r="B116" s="153">
        <v>2975.3</v>
      </c>
      <c r="C116" s="87">
        <v>5785.2</v>
      </c>
      <c r="D116" s="85">
        <f>187.7+10.4+531.5+38.4+44.9+0.1+53.3+13.7+14.6+4.3+409.7+22.6+33.2+12.9+10.1+431+0.1+44.6+9.7+432.7</f>
        <v>2305.4999999999995</v>
      </c>
      <c r="E116" s="86">
        <f>D116/D109*100</f>
        <v>1.05083869084304</v>
      </c>
      <c r="F116" s="86">
        <f t="shared" si="16"/>
        <v>77.48798440493394</v>
      </c>
      <c r="G116" s="86">
        <f t="shared" si="13"/>
        <v>39.85169052063887</v>
      </c>
      <c r="H116" s="87">
        <f t="shared" si="14"/>
        <v>669.8000000000006</v>
      </c>
      <c r="I116" s="87">
        <f t="shared" si="15"/>
        <v>3479.7000000000003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556.7</v>
      </c>
      <c r="C121" s="94">
        <v>1024.8</v>
      </c>
      <c r="D121" s="85">
        <f>80.5+0.2+38.8+80.5+0.8+10+10.3+80.5+16.8+0.3+4+80.5+10+10+0.3+0.8+80.5</f>
        <v>504.80000000000007</v>
      </c>
      <c r="E121" s="86">
        <f>D121/D109*100</f>
        <v>0.2300860425667173</v>
      </c>
      <c r="F121" s="86">
        <f t="shared" si="16"/>
        <v>90.67720495778696</v>
      </c>
      <c r="G121" s="86">
        <f t="shared" si="13"/>
        <v>49.25839188134271</v>
      </c>
      <c r="H121" s="87">
        <f t="shared" si="14"/>
        <v>51.89999999999998</v>
      </c>
      <c r="I121" s="87">
        <f t="shared" si="15"/>
        <v>519.9999999999999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80.5+80.5+80.5+80.5+0.1+80.5</f>
        <v>402.6</v>
      </c>
      <c r="E122" s="93">
        <f>D122/D121*100</f>
        <v>79.75435816164817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3">
        <v>155</v>
      </c>
      <c r="C123" s="94">
        <v>347</v>
      </c>
      <c r="D123" s="85">
        <f>34.5+13.8</f>
        <v>48.3</v>
      </c>
      <c r="E123" s="86">
        <f>D123/D109*100</f>
        <v>0.022014968018962845</v>
      </c>
      <c r="F123" s="86">
        <f t="shared" si="16"/>
        <v>31.161290322580644</v>
      </c>
      <c r="G123" s="86">
        <f t="shared" si="13"/>
        <v>13.919308357348703</v>
      </c>
      <c r="H123" s="87">
        <f t="shared" si="14"/>
        <v>106.7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3">
        <v>98</v>
      </c>
      <c r="C124" s="94">
        <f>86+920</f>
        <v>1006</v>
      </c>
      <c r="D124" s="95"/>
      <c r="E124" s="96">
        <f>D124/D109*100</f>
        <v>0</v>
      </c>
      <c r="F124" s="86">
        <f t="shared" si="16"/>
        <v>0</v>
      </c>
      <c r="G124" s="86">
        <f t="shared" si="13"/>
        <v>0</v>
      </c>
      <c r="H124" s="87">
        <f t="shared" si="14"/>
        <v>98</v>
      </c>
      <c r="I124" s="87">
        <f t="shared" si="15"/>
        <v>1006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3">
        <v>10752.3</v>
      </c>
      <c r="C127" s="94">
        <f>6156.2+17413.5</f>
        <v>23569.7</v>
      </c>
      <c r="D127" s="95">
        <f>871.9+408.1+585.9+900.5+901.8+879.7+893+994.8+887.7+852.4+0.1+789.7</f>
        <v>8965.6</v>
      </c>
      <c r="E127" s="96">
        <f>D127/D109*100</f>
        <v>4.086488556331538</v>
      </c>
      <c r="F127" s="86">
        <f t="shared" si="16"/>
        <v>83.38309012955368</v>
      </c>
      <c r="G127" s="86">
        <f t="shared" si="13"/>
        <v>38.03866829022007</v>
      </c>
      <c r="H127" s="87">
        <f t="shared" si="14"/>
        <v>1786.699999999999</v>
      </c>
      <c r="I127" s="87">
        <f t="shared" si="15"/>
        <v>14604.1</v>
      </c>
      <c r="K127" s="88">
        <f>H110+H113+H116+H121+H123+H129+H130+H132+H134+H138+H139+H141+H150+H70</f>
        <v>3705.800000000001</v>
      </c>
    </row>
    <row r="128" spans="1:9" s="97" customFormat="1" ht="18.75" hidden="1">
      <c r="A128" s="152" t="s">
        <v>89</v>
      </c>
      <c r="B128" s="153"/>
      <c r="C128" s="94"/>
      <c r="D128" s="95"/>
      <c r="E128" s="96">
        <f>D128/D109*100</f>
        <v>0</v>
      </c>
      <c r="F128" s="86" t="e">
        <f t="shared" si="16"/>
        <v>#DIV/0!</v>
      </c>
      <c r="G128" s="86" t="e">
        <f t="shared" si="13"/>
        <v>#DIV/0!</v>
      </c>
      <c r="H128" s="87">
        <f t="shared" si="14"/>
        <v>0</v>
      </c>
      <c r="I128" s="87">
        <f t="shared" si="15"/>
        <v>0</v>
      </c>
    </row>
    <row r="129" spans="1:13" s="97" customFormat="1" ht="37.5">
      <c r="A129" s="152" t="s">
        <v>98</v>
      </c>
      <c r="B129" s="153">
        <v>440</v>
      </c>
      <c r="C129" s="94">
        <v>483</v>
      </c>
      <c r="D129" s="95">
        <v>2.2</v>
      </c>
      <c r="E129" s="96">
        <f>D129/D109*100</f>
        <v>0.0010027521664952022</v>
      </c>
      <c r="F129" s="86">
        <f t="shared" si="16"/>
        <v>0.5</v>
      </c>
      <c r="G129" s="86">
        <f t="shared" si="13"/>
        <v>0.45548654244306425</v>
      </c>
      <c r="H129" s="87">
        <f t="shared" si="14"/>
        <v>437.8</v>
      </c>
      <c r="I129" s="87">
        <f t="shared" si="15"/>
        <v>480.8</v>
      </c>
      <c r="M129" s="88"/>
    </row>
    <row r="130" spans="1:13" s="97" customFormat="1" ht="37.5">
      <c r="A130" s="152" t="s">
        <v>83</v>
      </c>
      <c r="B130" s="153">
        <v>124.3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124.3</v>
      </c>
      <c r="I130" s="87">
        <f t="shared" si="15"/>
        <v>154.3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342.3</v>
      </c>
      <c r="C132" s="94">
        <v>1003.9</v>
      </c>
      <c r="D132" s="95">
        <f>7.7+12.9+7.7+2.8+0.3+0.9+48+9.2+16+18.7+7+7.7+1.3+0.4+12+8.8+4.3+4.6+2.7</f>
        <v>173.00000000000003</v>
      </c>
      <c r="E132" s="96">
        <f>D132/D109*100</f>
        <v>0.07885278400166817</v>
      </c>
      <c r="F132" s="86">
        <f t="shared" si="16"/>
        <v>50.54046158340637</v>
      </c>
      <c r="G132" s="86">
        <f t="shared" si="13"/>
        <v>17.23279211076801</v>
      </c>
      <c r="H132" s="87">
        <f t="shared" si="14"/>
        <v>169.29999999999998</v>
      </c>
      <c r="I132" s="87">
        <f t="shared" si="15"/>
        <v>830.9</v>
      </c>
      <c r="M132" s="88"/>
    </row>
    <row r="133" spans="1:13" s="98" customFormat="1" ht="18">
      <c r="A133" s="89" t="s">
        <v>86</v>
      </c>
      <c r="B133" s="90">
        <v>167.5</v>
      </c>
      <c r="C133" s="91">
        <v>553.3</v>
      </c>
      <c r="D133" s="92">
        <f>7.7+48+7.7+7.7+7.7+7.7</f>
        <v>86.50000000000001</v>
      </c>
      <c r="E133" s="93">
        <f>D133/D132*100</f>
        <v>50</v>
      </c>
      <c r="F133" s="93">
        <f>D133/B133*100</f>
        <v>51.64179104477613</v>
      </c>
      <c r="G133" s="93">
        <f t="shared" si="13"/>
        <v>15.633471895897348</v>
      </c>
      <c r="H133" s="91">
        <f t="shared" si="14"/>
        <v>80.99999999999999</v>
      </c>
      <c r="I133" s="91">
        <f t="shared" si="15"/>
        <v>466.79999999999995</v>
      </c>
      <c r="M133" s="128"/>
    </row>
    <row r="134" spans="1:9" s="97" customFormat="1" ht="37.5">
      <c r="A134" s="152" t="s">
        <v>101</v>
      </c>
      <c r="B134" s="153">
        <v>50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50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v>954.6</v>
      </c>
      <c r="C138" s="94">
        <v>2964.5</v>
      </c>
      <c r="D138" s="95">
        <f>203+174+113.5+76.2+55.5+17.2</f>
        <v>639.4000000000001</v>
      </c>
      <c r="E138" s="96">
        <f>D138/D109*100</f>
        <v>0.29143624329865103</v>
      </c>
      <c r="F138" s="86">
        <f t="shared" si="16"/>
        <v>66.98093442279489</v>
      </c>
      <c r="G138" s="86">
        <f t="shared" si="13"/>
        <v>21.568561308821053</v>
      </c>
      <c r="H138" s="87">
        <f t="shared" si="14"/>
        <v>315.19999999999993</v>
      </c>
      <c r="I138" s="87">
        <f t="shared" si="15"/>
        <v>2325.1</v>
      </c>
    </row>
    <row r="139" spans="1:9" s="97" customFormat="1" ht="39" customHeight="1">
      <c r="A139" s="152" t="s">
        <v>52</v>
      </c>
      <c r="B139" s="153">
        <v>150</v>
      </c>
      <c r="C139" s="94">
        <v>350</v>
      </c>
      <c r="D139" s="95"/>
      <c r="E139" s="96">
        <f>D139/D109*100</f>
        <v>0</v>
      </c>
      <c r="F139" s="86">
        <f t="shared" si="16"/>
        <v>0</v>
      </c>
      <c r="G139" s="86">
        <f t="shared" si="13"/>
        <v>0</v>
      </c>
      <c r="H139" s="87">
        <f t="shared" si="14"/>
        <v>150</v>
      </c>
      <c r="I139" s="87">
        <f t="shared" si="15"/>
        <v>350</v>
      </c>
    </row>
    <row r="140" spans="1:9" s="98" customFormat="1" ht="18">
      <c r="A140" s="89" t="s">
        <v>86</v>
      </c>
      <c r="B140" s="90">
        <v>50</v>
      </c>
      <c r="C140" s="91">
        <v>110</v>
      </c>
      <c r="D140" s="92"/>
      <c r="E140" s="93"/>
      <c r="F140" s="86">
        <f>D140/B140*100</f>
        <v>0</v>
      </c>
      <c r="G140" s="93">
        <f>D140/C140*100</f>
        <v>0</v>
      </c>
      <c r="H140" s="91">
        <f>B140-D140</f>
        <v>50</v>
      </c>
      <c r="I140" s="91">
        <f>C140-D140</f>
        <v>110</v>
      </c>
    </row>
    <row r="141" spans="1:9" s="97" customFormat="1" ht="32.25" customHeight="1">
      <c r="A141" s="152" t="s">
        <v>82</v>
      </c>
      <c r="B141" s="153">
        <v>331.9</v>
      </c>
      <c r="C141" s="94">
        <v>642.9</v>
      </c>
      <c r="D141" s="95">
        <f>3.4+29.8+0.5+0.6+0.5+7+95+1+3.4+1.6+21.9+0.5+0.2+14.5+1.1+4.5</f>
        <v>185.5</v>
      </c>
      <c r="E141" s="96">
        <f>D141/D109*100</f>
        <v>0.08455023949311817</v>
      </c>
      <c r="F141" s="86">
        <f>D141/B141*100</f>
        <v>55.89032841217234</v>
      </c>
      <c r="G141" s="86">
        <f>D141/C141*100</f>
        <v>28.853631980090217</v>
      </c>
      <c r="H141" s="87">
        <f t="shared" si="14"/>
        <v>146.39999999999998</v>
      </c>
      <c r="I141" s="87">
        <f t="shared" si="15"/>
        <v>457.4</v>
      </c>
    </row>
    <row r="142" spans="1:9" s="98" customFormat="1" ht="18">
      <c r="A142" s="89" t="s">
        <v>23</v>
      </c>
      <c r="B142" s="90">
        <v>271.9</v>
      </c>
      <c r="C142" s="91">
        <v>524.9</v>
      </c>
      <c r="D142" s="92">
        <f>0.4+29.8+0.5+0.6+95+0.7+18.5+0.5+14.5+1.1+4.5</f>
        <v>166.1</v>
      </c>
      <c r="E142" s="93">
        <f>D142/D141*100</f>
        <v>89.54177897574124</v>
      </c>
      <c r="F142" s="93">
        <f t="shared" si="16"/>
        <v>61.088635527767565</v>
      </c>
      <c r="G142" s="93">
        <f>D142/C142*100</f>
        <v>31.6441226900362</v>
      </c>
      <c r="H142" s="91">
        <f t="shared" si="14"/>
        <v>105.79999999999998</v>
      </c>
      <c r="I142" s="91">
        <f t="shared" si="15"/>
        <v>358.79999999999995</v>
      </c>
    </row>
    <row r="143" spans="1:9" s="97" customFormat="1" ht="18.75">
      <c r="A143" s="152" t="s">
        <v>94</v>
      </c>
      <c r="B143" s="153">
        <v>1151.6</v>
      </c>
      <c r="C143" s="94">
        <v>2262.8</v>
      </c>
      <c r="D143" s="95">
        <f>33.6+100.1+61.4+1.9+88.9+76.4+140.9+13.9+60.1+109.3+18.6+51.1+12+15.7+91.6</f>
        <v>875.5</v>
      </c>
      <c r="E143" s="96">
        <f>D143/D109*100</f>
        <v>0.39904978262115876</v>
      </c>
      <c r="F143" s="86">
        <f t="shared" si="16"/>
        <v>76.02466134074332</v>
      </c>
      <c r="G143" s="86">
        <f t="shared" si="13"/>
        <v>38.69100229803782</v>
      </c>
      <c r="H143" s="87">
        <f t="shared" si="14"/>
        <v>276.0999999999999</v>
      </c>
      <c r="I143" s="87">
        <f t="shared" si="15"/>
        <v>1387.3000000000002</v>
      </c>
    </row>
    <row r="144" spans="1:9" s="98" customFormat="1" ht="18">
      <c r="A144" s="154" t="s">
        <v>41</v>
      </c>
      <c r="B144" s="90">
        <v>886.5</v>
      </c>
      <c r="C144" s="91">
        <v>1867.4</v>
      </c>
      <c r="D144" s="92">
        <f>33.6+99.1+51.9+81.4+59+82.2+5.6+57.6+68.8+16.1-2.2+47.6+70.6</f>
        <v>671.3000000000001</v>
      </c>
      <c r="E144" s="93">
        <f>D144/D143*100</f>
        <v>76.67618503712166</v>
      </c>
      <c r="F144" s="93">
        <f t="shared" si="16"/>
        <v>75.72476029328821</v>
      </c>
      <c r="G144" s="93">
        <f t="shared" si="13"/>
        <v>35.94837742315519</v>
      </c>
      <c r="H144" s="91">
        <f t="shared" si="14"/>
        <v>215.19999999999993</v>
      </c>
      <c r="I144" s="91">
        <f t="shared" si="15"/>
        <v>1196.1</v>
      </c>
    </row>
    <row r="145" spans="1:9" s="98" customFormat="1" ht="18">
      <c r="A145" s="89" t="s">
        <v>23</v>
      </c>
      <c r="B145" s="90">
        <v>28.5</v>
      </c>
      <c r="C145" s="91">
        <v>48</v>
      </c>
      <c r="D145" s="92">
        <f>9.3+7.4+6+0.1+2.5+0.1+0.1</f>
        <v>25.500000000000007</v>
      </c>
      <c r="E145" s="93">
        <f>D145/D143*100</f>
        <v>2.912621359223302</v>
      </c>
      <c r="F145" s="93">
        <f t="shared" si="16"/>
        <v>89.47368421052634</v>
      </c>
      <c r="G145" s="93">
        <f>D145/C145*100</f>
        <v>53.125000000000014</v>
      </c>
      <c r="H145" s="91">
        <f t="shared" si="14"/>
        <v>2.999999999999993</v>
      </c>
      <c r="I145" s="91">
        <f t="shared" si="15"/>
        <v>22.499999999999993</v>
      </c>
    </row>
    <row r="146" spans="1:9" s="97" customFormat="1" ht="33.75" customHeight="1">
      <c r="A146" s="149" t="s">
        <v>54</v>
      </c>
      <c r="B146" s="153">
        <v>563</v>
      </c>
      <c r="C146" s="94">
        <v>961</v>
      </c>
      <c r="D146" s="95">
        <v>563</v>
      </c>
      <c r="E146" s="96">
        <f>D146/D109*100</f>
        <v>0.25661339533490857</v>
      </c>
      <c r="F146" s="86">
        <f t="shared" si="16"/>
        <v>100</v>
      </c>
      <c r="G146" s="86">
        <f t="shared" si="13"/>
        <v>58.58480749219564</v>
      </c>
      <c r="H146" s="87">
        <f t="shared" si="14"/>
        <v>0</v>
      </c>
      <c r="I146" s="87">
        <f t="shared" si="15"/>
        <v>398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v>90084.8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</f>
        <v>79416.59999999999</v>
      </c>
      <c r="E148" s="96">
        <f>D148/D109*100</f>
        <v>36.19780350258311</v>
      </c>
      <c r="F148" s="86">
        <f t="shared" si="16"/>
        <v>88.15760261442551</v>
      </c>
      <c r="G148" s="86">
        <f t="shared" si="13"/>
        <v>53.49850181614374</v>
      </c>
      <c r="H148" s="87">
        <f t="shared" si="14"/>
        <v>10668.200000000012</v>
      </c>
      <c r="I148" s="87">
        <f t="shared" si="15"/>
        <v>69029.8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26</v>
      </c>
      <c r="C150" s="94">
        <v>50</v>
      </c>
      <c r="D150" s="95">
        <f>1+0.7+0.3+0.3</f>
        <v>2.3</v>
      </c>
      <c r="E150" s="96">
        <f>D150/D111*100</f>
        <v>0.3727714748784441</v>
      </c>
      <c r="F150" s="86">
        <f>D150/B150*100</f>
        <v>8.846153846153845</v>
      </c>
      <c r="G150" s="86">
        <f>D150/C150*100</f>
        <v>4.6</v>
      </c>
      <c r="H150" s="87">
        <f>B150-D150</f>
        <v>23.7</v>
      </c>
      <c r="I150" s="87">
        <f>C150-D150</f>
        <v>47.7</v>
      </c>
    </row>
    <row r="151" spans="1:9" s="97" customFormat="1" ht="18.75">
      <c r="A151" s="152" t="s">
        <v>96</v>
      </c>
      <c r="B151" s="153">
        <v>55.3</v>
      </c>
      <c r="C151" s="94">
        <v>93.9</v>
      </c>
      <c r="D151" s="95">
        <f>29.5</f>
        <v>29.5</v>
      </c>
      <c r="E151" s="96">
        <f>D151/D109*100</f>
        <v>0.013445994959822028</v>
      </c>
      <c r="F151" s="86">
        <f t="shared" si="16"/>
        <v>53.34538878842676</v>
      </c>
      <c r="G151" s="86">
        <f t="shared" si="13"/>
        <v>31.416400425985085</v>
      </c>
      <c r="H151" s="87">
        <f t="shared" si="14"/>
        <v>25.799999999999997</v>
      </c>
      <c r="I151" s="87">
        <f t="shared" si="15"/>
        <v>64.4</v>
      </c>
    </row>
    <row r="152" spans="1:9" s="97" customFormat="1" ht="18" customHeight="1">
      <c r="A152" s="152" t="s">
        <v>75</v>
      </c>
      <c r="B152" s="153">
        <v>7064.7</v>
      </c>
      <c r="C152" s="94">
        <f>509.5+13731.5</f>
        <v>14241</v>
      </c>
      <c r="D152" s="95">
        <f>469.6+898.6+871.8+55+430.7+600.4+36+430.7-0.1+542+60.6</f>
        <v>4395.3</v>
      </c>
      <c r="E152" s="96">
        <f>D152/D109*100</f>
        <v>2.003362089725619</v>
      </c>
      <c r="F152" s="86">
        <f t="shared" si="16"/>
        <v>62.214956049089146</v>
      </c>
      <c r="G152" s="86">
        <f t="shared" si="13"/>
        <v>30.86370339161576</v>
      </c>
      <c r="H152" s="87">
        <f t="shared" si="14"/>
        <v>2669.3999999999996</v>
      </c>
      <c r="I152" s="87">
        <f t="shared" si="15"/>
        <v>9845.7</v>
      </c>
    </row>
    <row r="153" spans="1:9" s="97" customFormat="1" ht="19.5" customHeight="1">
      <c r="A153" s="152" t="s">
        <v>48</v>
      </c>
      <c r="B153" s="153">
        <v>91843.9</v>
      </c>
      <c r="C153" s="94">
        <f>365455.9+155.1+4856-2795.8</f>
        <v>367671.2</v>
      </c>
      <c r="D153" s="95">
        <f>9702+30405.7+10266.3+91.6-29196.2+1482.1+9293.3+20631.5+2864.5+2072.8+10611.8+26.4-6447.8-3782.8-4677.3+4676.1-2746.7-2356.3-5820.8+6091.9+14434.9+3293.3-2161.9+2161.9+253+3208.6+2572.08517+1407.2+10069.6+3344.4+11.7</f>
        <v>91782.88516999998</v>
      </c>
      <c r="E153" s="96">
        <f>D153/D109*100</f>
        <v>41.83431225063538</v>
      </c>
      <c r="F153" s="86">
        <f t="shared" si="16"/>
        <v>99.93356681282043</v>
      </c>
      <c r="G153" s="86">
        <f t="shared" si="13"/>
        <v>24.963305575742666</v>
      </c>
      <c r="H153" s="87">
        <f t="shared" si="14"/>
        <v>61.014830000014626</v>
      </c>
      <c r="I153" s="87">
        <f>C153-D153</f>
        <v>275888.31483000005</v>
      </c>
    </row>
    <row r="154" spans="1:9" s="97" customFormat="1" ht="18.75">
      <c r="A154" s="152" t="s">
        <v>97</v>
      </c>
      <c r="B154" s="153">
        <v>33962.4</v>
      </c>
      <c r="C154" s="94">
        <v>67925</v>
      </c>
      <c r="D154" s="95">
        <f>1886.8+1886.8+1886.8+1886.8+1886.8+1886.8+1886.8+1886.8+1886.8+1886.8+1886.8+1886.8+1886.8+1886.8+1886.8</f>
        <v>28301.999999999993</v>
      </c>
      <c r="E154" s="96">
        <f>D154/D109*100</f>
        <v>12.899950825521456</v>
      </c>
      <c r="F154" s="86">
        <f t="shared" si="16"/>
        <v>83.3333333333333</v>
      </c>
      <c r="G154" s="86">
        <f t="shared" si="13"/>
        <v>41.666543982333444</v>
      </c>
      <c r="H154" s="87">
        <f t="shared" si="14"/>
        <v>5660.400000000009</v>
      </c>
      <c r="I154" s="87">
        <f t="shared" si="15"/>
        <v>39623.00000000001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244562.68516999998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1259607.2</v>
      </c>
      <c r="C156" s="36">
        <f>C6+C18+C33+C43+C52+C60+C70+C74+C79+C81+C89+C92+C97+C104+C109+C102+C86+C100+C46</f>
        <v>2507982.5000000005</v>
      </c>
      <c r="D156" s="36">
        <f>D6+D18+D33+D43+D52+D60+D70+D74+D79+D81+D89+D92+D97+D104+D109+D102+D86+D100+D46</f>
        <v>958810.6851699998</v>
      </c>
      <c r="E156" s="25">
        <v>100</v>
      </c>
      <c r="F156" s="3">
        <f>D156/B156*100</f>
        <v>76.11981617523304</v>
      </c>
      <c r="G156" s="3">
        <f aca="true" t="shared" si="17" ref="G156:G162">D156/C156*100</f>
        <v>38.23035787410796</v>
      </c>
      <c r="H156" s="36">
        <f>B156-D156</f>
        <v>300796.5148300001</v>
      </c>
      <c r="I156" s="36">
        <f aca="true" t="shared" si="18" ref="I156:I162">C156-D156</f>
        <v>1549171.8148300005</v>
      </c>
      <c r="K156" s="136">
        <f>D156-114199.9-202905.8-214631.3-204053.8-222765.5</f>
        <v>254.38516999979038</v>
      </c>
    </row>
    <row r="157" spans="1:9" ht="18.75">
      <c r="A157" s="15" t="s">
        <v>5</v>
      </c>
      <c r="B157" s="47">
        <f>B8+B20+B34+B53+B61+B93+B117+B122+B47+B144+B135+B105</f>
        <v>566913.5</v>
      </c>
      <c r="C157" s="47">
        <f>C8+C20+C34+C53+C61+C93+C117+C122+C47+C144+C135+C105</f>
        <v>988150.6</v>
      </c>
      <c r="D157" s="47">
        <f>D8+D20+D34+D53+D61+D93+D117+D122+D47+D144+D135+D105</f>
        <v>412051.59999999986</v>
      </c>
      <c r="E157" s="6">
        <f>D157/D156*100</f>
        <v>42.97528243825756</v>
      </c>
      <c r="F157" s="6">
        <f aca="true" t="shared" si="19" ref="F157:F162">D157/B157*100</f>
        <v>72.68332823261395</v>
      </c>
      <c r="G157" s="6">
        <f t="shared" si="17"/>
        <v>41.69927134588593</v>
      </c>
      <c r="H157" s="48">
        <f aca="true" t="shared" si="20" ref="H157:H162">B157-D157</f>
        <v>154861.90000000014</v>
      </c>
      <c r="I157" s="58">
        <f t="shared" si="18"/>
        <v>576099.0000000001</v>
      </c>
    </row>
    <row r="158" spans="1:9" ht="18.75">
      <c r="A158" s="15" t="s">
        <v>0</v>
      </c>
      <c r="B158" s="87">
        <f>B11+B23+B36+B56+B63+B94+B50+B145+B111+B114+B98+B142+B131</f>
        <v>75448.9</v>
      </c>
      <c r="C158" s="87">
        <f>C11+C23+C36+C56+C63+C94+C50+C145+C111+C114+C98+C142+C131</f>
        <v>125217</v>
      </c>
      <c r="D158" s="87">
        <f>D11+D23+D36+D56+D63+D94+D50+D145+D111+D114+D98+D142+D131</f>
        <v>57066.39999999999</v>
      </c>
      <c r="E158" s="6">
        <f>D158/D156*100</f>
        <v>5.951790158646589</v>
      </c>
      <c r="F158" s="6">
        <f t="shared" si="19"/>
        <v>75.63582769265025</v>
      </c>
      <c r="G158" s="6">
        <f t="shared" si="17"/>
        <v>45.57400352987213</v>
      </c>
      <c r="H158" s="48">
        <f>B158-D158</f>
        <v>18382.500000000007</v>
      </c>
      <c r="I158" s="58">
        <f t="shared" si="18"/>
        <v>68150.6</v>
      </c>
    </row>
    <row r="159" spans="1:9" ht="18.75">
      <c r="A159" s="15" t="s">
        <v>1</v>
      </c>
      <c r="B159" s="142">
        <f>B22+B10+B55+B49+B62+B35+B126</f>
        <v>28982.6</v>
      </c>
      <c r="C159" s="142">
        <f>C22+C10+C55+C49+C62+C35+C126</f>
        <v>48135.3</v>
      </c>
      <c r="D159" s="142">
        <f>D22+D10+D55+D49+D62+D35+D126</f>
        <v>22897.3</v>
      </c>
      <c r="E159" s="6">
        <f>D159/D156*100</f>
        <v>2.3880939537026795</v>
      </c>
      <c r="F159" s="6">
        <f t="shared" si="19"/>
        <v>79.00360906198893</v>
      </c>
      <c r="G159" s="6">
        <f t="shared" si="17"/>
        <v>47.568624273661946</v>
      </c>
      <c r="H159" s="48">
        <f t="shared" si="20"/>
        <v>6085.299999999999</v>
      </c>
      <c r="I159" s="58">
        <f t="shared" si="18"/>
        <v>25238.000000000004</v>
      </c>
    </row>
    <row r="160" spans="1:9" ht="21" customHeight="1">
      <c r="A160" s="15" t="s">
        <v>12</v>
      </c>
      <c r="B160" s="142">
        <f>B12+B24+B106+B64+B38+B95+B133+B57+B140+B120+B44+B73</f>
        <v>42790.4</v>
      </c>
      <c r="C160" s="142">
        <f>C12+C24+C106+C64+C38+C95+C133+C57+C140+C120+C44+C73</f>
        <v>89055.8</v>
      </c>
      <c r="D160" s="142">
        <f>D12+D24+D106+D64+D38+D95+D133+D57+D140+D120+D44+D73</f>
        <v>29503.800000000007</v>
      </c>
      <c r="E160" s="6">
        <f>D160/D156*100</f>
        <v>3.077124656236898</v>
      </c>
      <c r="F160" s="6">
        <f>D160/B160*100</f>
        <v>68.94957747532158</v>
      </c>
      <c r="G160" s="6">
        <f t="shared" si="17"/>
        <v>33.12956595752327</v>
      </c>
      <c r="H160" s="48">
        <f>B160-D160</f>
        <v>13286.599999999995</v>
      </c>
      <c r="I160" s="58">
        <f t="shared" si="18"/>
        <v>59552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36.99999999999999</v>
      </c>
      <c r="E161" s="6">
        <f>D161/D156*100</f>
        <v>0.0038589473993439895</v>
      </c>
      <c r="F161" s="6">
        <f t="shared" si="19"/>
        <v>70.3422053231939</v>
      </c>
      <c r="G161" s="6">
        <f t="shared" si="17"/>
        <v>30.10577705451586</v>
      </c>
      <c r="H161" s="48">
        <f t="shared" si="20"/>
        <v>15.600000000000009</v>
      </c>
      <c r="I161" s="58">
        <f t="shared" si="18"/>
        <v>85.9</v>
      </c>
    </row>
    <row r="162" spans="1:9" ht="19.5" thickBot="1">
      <c r="A162" s="80" t="s">
        <v>25</v>
      </c>
      <c r="B162" s="60">
        <f>B156-B157-B158-B159-B160-B161</f>
        <v>545419.2</v>
      </c>
      <c r="C162" s="60">
        <f>C156-C157-C158-C159-C160-C161</f>
        <v>1257300.9000000004</v>
      </c>
      <c r="D162" s="60">
        <f>D156-D157-D158-D159-D160-D161</f>
        <v>437254.58517000003</v>
      </c>
      <c r="E162" s="28">
        <f>D162/D156*100</f>
        <v>45.60384984575694</v>
      </c>
      <c r="F162" s="28">
        <f t="shared" si="19"/>
        <v>80.16853553560273</v>
      </c>
      <c r="G162" s="28">
        <f t="shared" si="17"/>
        <v>34.777242676753026</v>
      </c>
      <c r="H162" s="81">
        <f t="shared" si="20"/>
        <v>108164.61482999992</v>
      </c>
      <c r="I162" s="81">
        <f t="shared" si="18"/>
        <v>820046.3148300003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958810.6851699998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958810.6851699998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2019-05-17T08:53:44Z</cp:lastPrinted>
  <dcterms:created xsi:type="dcterms:W3CDTF">2000-06-20T04:48:00Z</dcterms:created>
  <dcterms:modified xsi:type="dcterms:W3CDTF">2019-06-03T12:01:15Z</dcterms:modified>
  <cp:category/>
  <cp:version/>
  <cp:contentType/>
  <cp:contentStatus/>
</cp:coreProperties>
</file>